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10305" yWindow="65521" windowWidth="10140" windowHeight="8835" tabRatio="800" activeTab="0"/>
  </bookViews>
  <sheets>
    <sheet name="BDI" sheetId="1" r:id="rId1"/>
    <sheet name="BDI 2622_2013_TCU" sheetId="2" r:id="rId2"/>
  </sheets>
  <definedNames>
    <definedName name="_xlnm.Print_Area" localSheetId="0">'BDI'!$A$2:$F$43</definedName>
  </definedNames>
  <calcPr fullCalcOnLoad="1"/>
</workbook>
</file>

<file path=xl/sharedStrings.xml><?xml version="1.0" encoding="utf-8"?>
<sst xmlns="http://schemas.openxmlformats.org/spreadsheetml/2006/main" count="70" uniqueCount="66">
  <si>
    <t>Intervalo de admissibilidade</t>
  </si>
  <si>
    <t>Item Componente do BDI</t>
  </si>
  <si>
    <t>Médio</t>
  </si>
  <si>
    <t>Valores Propostos</t>
  </si>
  <si>
    <t>Tomador:</t>
  </si>
  <si>
    <t>Empreendimento:</t>
  </si>
  <si>
    <t>Carimbo e Assinatura</t>
  </si>
  <si>
    <t>Prefeito Municipal (ou Tomador)</t>
  </si>
  <si>
    <t>Administração Central</t>
  </si>
  <si>
    <t>Seguro e Garantia</t>
  </si>
  <si>
    <t>Risco</t>
  </si>
  <si>
    <t>Despesas Financeiras</t>
  </si>
  <si>
    <t>Lucro</t>
  </si>
  <si>
    <t>1º Quartil</t>
  </si>
  <si>
    <t>3º Quartil</t>
  </si>
  <si>
    <t>Identifique o tipo de obra:</t>
  </si>
  <si>
    <t>1º QUARTIL</t>
  </si>
  <si>
    <t>MÉDIO</t>
  </si>
  <si>
    <t>3º QUARTIL</t>
  </si>
  <si>
    <t>Construção de edifícios</t>
  </si>
  <si>
    <t>Construção de rodovias e ferrovias</t>
  </si>
  <si>
    <t>Construção de redes de abastecimento de água, coletora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</si>
  <si>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</si>
  <si>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</si>
  <si>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</si>
  <si>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PROPOSTO</t>
  </si>
  <si>
    <t>Construção de rodovias e ferrovias:</t>
  </si>
  <si>
    <t>Construção de redes de abastecimento de água, coleta de esgoto e construções correlatas:</t>
  </si>
  <si>
    <t>Construção e manutenção de estações e redes de distribuição de energia elétrica:</t>
  </si>
  <si>
    <t>Obras portuárias, marítimas e fluviais:</t>
  </si>
  <si>
    <t>Fornecimento de materiais e equipamentos:</t>
  </si>
  <si>
    <t>I</t>
  </si>
  <si>
    <t>TIPO</t>
  </si>
  <si>
    <t>Construção de edifícios: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</si>
  <si>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</si>
  <si>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</si>
  <si>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</si>
  <si>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</si>
  <si>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</si>
  <si>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t>Declaramos que esta planilha foi elaborada conforme equação para cálculo do percentual do BDI recomendada pelo Acórdão 2622/2013 - TCU, representada pela fórmula abaixo.</t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</si>
  <si>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</si>
  <si>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</si>
  <si>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PIS e COFINS</t>
  </si>
  <si>
    <t>ISSQN</t>
  </si>
  <si>
    <t>I3: Cont.Prev s/Rec.Bruta (Lei 12844/13 - Desoneração)</t>
  </si>
  <si>
    <t>BDI - SEM Desoneração da folha de pagamento</t>
  </si>
  <si>
    <t>BDI - COM Desoneração da folha de pagamento</t>
  </si>
  <si>
    <t>Cont.Prev s/Rec.Bruta (Lei 12844/13 - Desoneração)</t>
  </si>
  <si>
    <t>BDI S = [(1+AC+S+G+R)X(1+DF)X(1+L)/(1-I1-I2-I3)]-1</t>
  </si>
  <si>
    <t>SEM Desoneração.</t>
  </si>
  <si>
    <t>Informe a ocorrência da DESONERAÇÃO da folha de pagamento. Lei 12844/2013.</t>
  </si>
  <si>
    <t>BDI - COM Desoneração = [(1+AC+S+G+R)X(1+DF)X(1+L)/(1-I1-I2-I3)]-1</t>
  </si>
  <si>
    <t>BDI - SEM Desoneração = [(1+AC+S+G+R)X(1+DF)X(1+L)/(1-I1-I2)]-1</t>
  </si>
  <si>
    <t>BDI C = [(1+AC+S+G+R)X(1+DF)X(1+L)/(1-I1-I2)]-1</t>
  </si>
  <si>
    <t>COM Desoneração.</t>
  </si>
  <si>
    <t>Sobre os serviços.</t>
  </si>
  <si>
    <t>Sobre a mão-de-obra.</t>
  </si>
  <si>
    <t>Informe a base de cálculo do ISSQN.</t>
  </si>
  <si>
    <t>Nº do contrato:</t>
  </si>
  <si>
    <t>Programa:</t>
  </si>
  <si>
    <t>Responsável Técnico do Tomador</t>
  </si>
  <si>
    <t>X</t>
  </si>
  <si>
    <t>PREFEITURA MUNICIPAL DE ABDON BATISTA</t>
  </si>
  <si>
    <t>SES DE ABDON BATISTA</t>
  </si>
  <si>
    <t>TC/PAC/0232/2014</t>
  </si>
  <si>
    <t>PAC SANEAMENTO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</si>
</sst>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d/m/yy;@"/>
    <numFmt numFmtId="174" formatCode="[$-416]d\-mmm\-yy;@"/>
    <numFmt numFmtId="175" formatCode="0.0"/>
    <numFmt numFmtId="176" formatCode="000"/>
    <numFmt numFmtId="177" formatCode="&quot;/&quot;####"/>
    <numFmt numFmtId="178" formatCode="0.0%"/>
    <numFmt numFmtId="179" formatCode="[$-F800]dddd\,\ mmmm\ dd\,\ yyyy"/>
    <numFmt numFmtId="180" formatCode="####&quot;.&quot;#######"/>
    <numFmt numFmtId="181" formatCode="[$-416]mmm/yyyy;@"/>
    <numFmt numFmtId="182" formatCode="&quot;R$ &quot;\ \ #,##0.00"/>
    <numFmt numFmtId="183" formatCode="[$-416]dddd\,\ d&quot; de &quot;mmmm&quot; de &quot;yyyy"/>
    <numFmt numFmtId="184" formatCode="&quot;( &quot;0&quot; )&quot;"/>
    <numFmt numFmtId="185" formatCode="0######&quot;-&quot;##&quot;/&quot;####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0" fontId="10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" fontId="4" fillId="0" borderId="0" xfId="0" applyNumberFormat="1" applyFont="1" applyAlignment="1">
      <alignment horizontal="left" vertical="top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0" fontId="15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0" fontId="0" fillId="0" borderId="0" xfId="0" applyAlignment="1">
      <alignment horizontal="justify" vertical="top" wrapText="1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10" fontId="0" fillId="0" borderId="14" xfId="0" applyNumberFormat="1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/>
    </xf>
    <xf numFmtId="0" fontId="4" fillId="0" borderId="16" xfId="0" applyNumberFormat="1" applyFont="1" applyFill="1" applyBorder="1" applyAlignment="1" applyProtection="1">
      <alignment horizontal="right"/>
      <protection/>
    </xf>
    <xf numFmtId="10" fontId="8" fillId="0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0" fontId="5" fillId="0" borderId="18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 applyProtection="1">
      <alignment horizontal="right" vertical="top"/>
      <protection locked="0"/>
    </xf>
    <xf numFmtId="0" fontId="5" fillId="4" borderId="20" xfId="0" applyFont="1" applyFill="1" applyBorder="1" applyAlignment="1">
      <alignment vertical="center"/>
    </xf>
    <xf numFmtId="10" fontId="8" fillId="33" borderId="21" xfId="0" applyNumberFormat="1" applyFont="1" applyFill="1" applyBorder="1" applyAlignment="1" applyProtection="1">
      <alignment horizontal="center" vertical="center"/>
      <protection locked="0"/>
    </xf>
    <xf numFmtId="10" fontId="8" fillId="33" borderId="22" xfId="0" applyNumberFormat="1" applyFont="1" applyFill="1" applyBorder="1" applyAlignment="1" applyProtection="1">
      <alignment horizontal="center" vertical="center"/>
      <protection locked="0"/>
    </xf>
    <xf numFmtId="10" fontId="5" fillId="32" borderId="23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0" fontId="8" fillId="0" borderId="26" xfId="0" applyNumberFormat="1" applyFont="1" applyFill="1" applyBorder="1" applyAlignment="1" applyProtection="1">
      <alignment horizontal="center" vertical="center"/>
      <protection/>
    </xf>
    <xf numFmtId="10" fontId="7" fillId="0" borderId="24" xfId="0" applyNumberFormat="1" applyFont="1" applyFill="1" applyBorder="1" applyAlignment="1">
      <alignment horizontal="center" vertical="center"/>
    </xf>
    <xf numFmtId="10" fontId="7" fillId="0" borderId="27" xfId="0" applyNumberFormat="1" applyFont="1" applyFill="1" applyBorder="1" applyAlignment="1">
      <alignment horizontal="center" vertical="center"/>
    </xf>
    <xf numFmtId="10" fontId="7" fillId="0" borderId="25" xfId="0" applyNumberFormat="1" applyFont="1" applyFill="1" applyBorder="1" applyAlignment="1">
      <alignment horizontal="center" vertical="center"/>
    </xf>
    <xf numFmtId="10" fontId="7" fillId="0" borderId="28" xfId="0" applyNumberFormat="1" applyFont="1" applyFill="1" applyBorder="1" applyAlignment="1">
      <alignment horizontal="center" vertical="center"/>
    </xf>
    <xf numFmtId="10" fontId="7" fillId="0" borderId="12" xfId="0" applyNumberFormat="1" applyFont="1" applyFill="1" applyBorder="1" applyAlignment="1">
      <alignment horizontal="center" vertical="center"/>
    </xf>
    <xf numFmtId="10" fontId="7" fillId="0" borderId="29" xfId="0" applyNumberFormat="1" applyFont="1" applyFill="1" applyBorder="1" applyAlignment="1">
      <alignment horizontal="center" vertical="center"/>
    </xf>
    <xf numFmtId="10" fontId="7" fillId="0" borderId="30" xfId="0" applyNumberFormat="1" applyFont="1" applyFill="1" applyBorder="1" applyAlignment="1">
      <alignment horizontal="center" vertical="center"/>
    </xf>
    <xf numFmtId="10" fontId="7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 applyProtection="1">
      <alignment horizontal="right"/>
      <protection/>
    </xf>
    <xf numFmtId="0" fontId="4" fillId="0" borderId="33" xfId="0" applyFont="1" applyBorder="1" applyAlignment="1">
      <alignment vertical="center"/>
    </xf>
    <xf numFmtId="1" fontId="4" fillId="32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85" fontId="4" fillId="32" borderId="36" xfId="0" applyNumberFormat="1" applyFont="1" applyFill="1" applyBorder="1" applyAlignment="1" applyProtection="1">
      <alignment horizontal="left" vertical="center"/>
      <protection locked="0"/>
    </xf>
    <xf numFmtId="185" fontId="4" fillId="32" borderId="37" xfId="0" applyNumberFormat="1" applyFont="1" applyFill="1" applyBorder="1" applyAlignment="1" applyProtection="1">
      <alignment horizontal="left" vertical="center"/>
      <protection locked="0"/>
    </xf>
    <xf numFmtId="185" fontId="4" fillId="32" borderId="38" xfId="0" applyNumberFormat="1" applyFont="1" applyFill="1" applyBorder="1" applyAlignment="1" applyProtection="1">
      <alignment horizontal="left" vertical="center"/>
      <protection locked="0"/>
    </xf>
    <xf numFmtId="0" fontId="4" fillId="32" borderId="12" xfId="0" applyFont="1" applyFill="1" applyBorder="1" applyAlignment="1" applyProtection="1">
      <alignment vertical="center"/>
      <protection locked="0"/>
    </xf>
    <xf numFmtId="1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41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10" fontId="4" fillId="0" borderId="39" xfId="0" applyNumberFormat="1" applyFont="1" applyBorder="1" applyAlignment="1">
      <alignment horizontal="distributed" vertical="top"/>
    </xf>
    <xf numFmtId="0" fontId="4" fillId="0" borderId="40" xfId="0" applyFont="1" applyBorder="1" applyAlignment="1">
      <alignment horizontal="distributed" vertical="top"/>
    </xf>
    <xf numFmtId="0" fontId="4" fillId="0" borderId="41" xfId="0" applyFont="1" applyBorder="1" applyAlignment="1">
      <alignment horizontal="distributed" vertical="top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5" fillId="4" borderId="2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4" borderId="44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7">
    <dxf>
      <font>
        <b val="0"/>
        <i val="0"/>
        <color auto="1"/>
      </font>
    </dxf>
    <dxf>
      <font>
        <b val="0"/>
        <i val="0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3"/>
  <sheetViews>
    <sheetView showGridLines="0" showRowColHeaders="0" showZeros="0" tabSelected="1" workbookViewId="0" topLeftCell="A1">
      <selection activeCell="C6" sqref="C6"/>
    </sheetView>
  </sheetViews>
  <sheetFormatPr defaultColWidth="9.140625" defaultRowHeight="12.75"/>
  <cols>
    <col min="1" max="1" width="1.7109375" style="10" customWidth="1"/>
    <col min="2" max="2" width="24.421875" style="10" bestFit="1" customWidth="1"/>
    <col min="3" max="5" width="10.7109375" style="10" customWidth="1"/>
    <col min="6" max="6" width="17.7109375" style="11" customWidth="1"/>
    <col min="7" max="18" width="9.140625" style="10" customWidth="1"/>
    <col min="19" max="19" width="9.140625" style="12" customWidth="1"/>
    <col min="20" max="20" width="9.140625" style="13" customWidth="1"/>
    <col min="21" max="16384" width="9.140625" style="10" customWidth="1"/>
  </cols>
  <sheetData>
    <row r="1" spans="6:20" s="6" customFormat="1" ht="48.75" customHeight="1">
      <c r="F1" s="7"/>
      <c r="S1" s="8"/>
      <c r="T1" s="9"/>
    </row>
    <row r="2" spans="2:20" s="14" customFormat="1" ht="12.75">
      <c r="B2" s="34" t="s">
        <v>58</v>
      </c>
      <c r="C2" s="86" t="s">
        <v>64</v>
      </c>
      <c r="D2" s="87"/>
      <c r="E2" s="87"/>
      <c r="F2" s="88"/>
      <c r="S2" s="15"/>
      <c r="T2" s="16"/>
    </row>
    <row r="3" spans="2:20" s="14" customFormat="1" ht="12.75">
      <c r="B3" s="34" t="s">
        <v>4</v>
      </c>
      <c r="C3" s="89" t="s">
        <v>62</v>
      </c>
      <c r="D3" s="89"/>
      <c r="E3" s="89"/>
      <c r="F3" s="89"/>
      <c r="S3" s="15"/>
      <c r="T3" s="16"/>
    </row>
    <row r="4" spans="2:20" s="14" customFormat="1" ht="12.75">
      <c r="B4" s="34" t="s">
        <v>5</v>
      </c>
      <c r="C4" s="89" t="s">
        <v>63</v>
      </c>
      <c r="D4" s="89"/>
      <c r="E4" s="89"/>
      <c r="F4" s="89"/>
      <c r="S4" s="15"/>
      <c r="T4" s="16"/>
    </row>
    <row r="5" spans="2:20" s="17" customFormat="1" ht="12.75">
      <c r="B5" s="34" t="s">
        <v>59</v>
      </c>
      <c r="C5" s="89" t="s">
        <v>65</v>
      </c>
      <c r="D5" s="89"/>
      <c r="E5" s="89"/>
      <c r="F5" s="89"/>
      <c r="S5" s="19"/>
      <c r="T5" s="20"/>
    </row>
    <row r="6" spans="2:20" s="17" customFormat="1" ht="12.75">
      <c r="B6" s="81" t="s">
        <v>15</v>
      </c>
      <c r="C6" s="82">
        <v>3</v>
      </c>
      <c r="D6" s="21">
        <f>IF(C6&gt;0,IF(C6&lt;7,,"&lt;--- Insira valor entre 1 e 6"),"&lt;--- Insira valor entre 1 e 6")</f>
        <v>0</v>
      </c>
      <c r="E6" s="14"/>
      <c r="F6" s="18"/>
      <c r="S6" s="19"/>
      <c r="T6" s="20"/>
    </row>
    <row r="7" spans="2:20" s="17" customFormat="1" ht="12.75">
      <c r="B7" s="35" t="s">
        <v>33</v>
      </c>
      <c r="C7" s="36">
        <v>1</v>
      </c>
      <c r="D7" s="90" t="s">
        <v>57</v>
      </c>
      <c r="E7" s="91"/>
      <c r="F7" s="92"/>
      <c r="S7" s="19"/>
      <c r="T7" s="20"/>
    </row>
    <row r="8" spans="2:20" s="17" customFormat="1" ht="25.5">
      <c r="B8" s="35" t="s">
        <v>26</v>
      </c>
      <c r="C8" s="37">
        <v>2</v>
      </c>
      <c r="D8" s="80" t="str">
        <f>IF(D9&lt;&gt;0,0,"( X )")</f>
        <v>( X )</v>
      </c>
      <c r="E8" s="58" t="s">
        <v>55</v>
      </c>
      <c r="F8" s="55"/>
      <c r="S8" s="19"/>
      <c r="T8" s="20"/>
    </row>
    <row r="9" spans="2:20" s="17" customFormat="1" ht="51">
      <c r="B9" s="35" t="s">
        <v>27</v>
      </c>
      <c r="C9" s="37">
        <v>3</v>
      </c>
      <c r="D9" s="63"/>
      <c r="E9" s="56" t="s">
        <v>56</v>
      </c>
      <c r="F9" s="57"/>
      <c r="S9" s="19"/>
      <c r="T9" s="20"/>
    </row>
    <row r="10" spans="2:20" s="17" customFormat="1" ht="51">
      <c r="B10" s="35" t="s">
        <v>28</v>
      </c>
      <c r="C10" s="37">
        <v>4</v>
      </c>
      <c r="D10" s="95" t="s">
        <v>50</v>
      </c>
      <c r="E10" s="96"/>
      <c r="F10" s="97"/>
      <c r="S10" s="19"/>
      <c r="T10" s="20"/>
    </row>
    <row r="11" spans="2:20" s="17" customFormat="1" ht="25.5">
      <c r="B11" s="35" t="s">
        <v>29</v>
      </c>
      <c r="C11" s="37">
        <v>5</v>
      </c>
      <c r="D11" s="59">
        <f>IF(D12&lt;&gt;0,0,"( X )")</f>
        <v>0</v>
      </c>
      <c r="E11" s="58" t="s">
        <v>49</v>
      </c>
      <c r="F11" s="55"/>
      <c r="S11" s="19"/>
      <c r="T11" s="20"/>
    </row>
    <row r="12" spans="2:20" s="17" customFormat="1" ht="25.5">
      <c r="B12" s="35" t="s">
        <v>30</v>
      </c>
      <c r="C12" s="37">
        <v>6</v>
      </c>
      <c r="D12" s="63" t="s">
        <v>61</v>
      </c>
      <c r="E12" s="56" t="s">
        <v>54</v>
      </c>
      <c r="F12" s="57"/>
      <c r="S12" s="19"/>
      <c r="T12" s="20"/>
    </row>
    <row r="13" spans="2:20" s="17" customFormat="1" ht="12.75">
      <c r="B13" s="25"/>
      <c r="C13" s="14"/>
      <c r="D13" s="14"/>
      <c r="E13" s="14"/>
      <c r="F13" s="18"/>
      <c r="S13" s="19"/>
      <c r="T13" s="20"/>
    </row>
    <row r="14" spans="2:5" ht="15.75" customHeight="1">
      <c r="B14" s="11"/>
      <c r="C14" s="100" t="s">
        <v>0</v>
      </c>
      <c r="D14" s="100"/>
      <c r="E14" s="100"/>
    </row>
    <row r="15" spans="2:20" s="2" customFormat="1" ht="31.5">
      <c r="B15" s="68" t="s">
        <v>1</v>
      </c>
      <c r="C15" s="5" t="s">
        <v>13</v>
      </c>
      <c r="D15" s="5" t="s">
        <v>2</v>
      </c>
      <c r="E15" s="5" t="s">
        <v>14</v>
      </c>
      <c r="F15" s="69" t="s">
        <v>3</v>
      </c>
      <c r="S15" s="3"/>
      <c r="T15" s="4"/>
    </row>
    <row r="16" spans="2:19" ht="15.75">
      <c r="B16" s="64" t="s">
        <v>34</v>
      </c>
      <c r="C16" s="71">
        <f>'BDI 2622_2013_TCU'!G3</f>
        <v>0.0343</v>
      </c>
      <c r="D16" s="72">
        <f>'BDI 2622_2013_TCU'!H3</f>
        <v>0.0493</v>
      </c>
      <c r="E16" s="73">
        <f>'BDI 2622_2013_TCU'!I3</f>
        <v>0.0671</v>
      </c>
      <c r="F16" s="65">
        <v>0.035</v>
      </c>
      <c r="G16" s="21">
        <f>IF(F16=0,"",IF(F16&lt;C16,"Atenção, observar os intervalos!",IF(F16&gt;E16,"Atenção, observar os intervalos!","")))</f>
      </c>
      <c r="R16" s="13"/>
      <c r="S16" s="13"/>
    </row>
    <row r="17" spans="2:19" ht="15.75">
      <c r="B17" s="64" t="s">
        <v>35</v>
      </c>
      <c r="C17" s="74">
        <f>'BDI 2622_2013_TCU'!G4</f>
        <v>0.0028</v>
      </c>
      <c r="D17" s="75">
        <f>'BDI 2622_2013_TCU'!H4</f>
        <v>0.0049</v>
      </c>
      <c r="E17" s="76">
        <f>'BDI 2622_2013_TCU'!I4</f>
        <v>0.0075</v>
      </c>
      <c r="F17" s="66">
        <v>0.0042</v>
      </c>
      <c r="G17" s="21">
        <f>IF(F17=0,"",IF(F17&lt;C17,"Atenção, observar os intervalos!",IF(F17&gt;E17,"Atenção, observar os intervalos!","")))</f>
      </c>
      <c r="R17" s="13"/>
      <c r="S17" s="13"/>
    </row>
    <row r="18" spans="2:19" ht="15.75">
      <c r="B18" s="64" t="s">
        <v>36</v>
      </c>
      <c r="C18" s="74">
        <f>'BDI 2622_2013_TCU'!G5</f>
        <v>0.01</v>
      </c>
      <c r="D18" s="75">
        <f>'BDI 2622_2013_TCU'!H5</f>
        <v>0.0139</v>
      </c>
      <c r="E18" s="76">
        <f>'BDI 2622_2013_TCU'!I5</f>
        <v>0.0174</v>
      </c>
      <c r="F18" s="66">
        <v>0.01</v>
      </c>
      <c r="G18" s="21">
        <f>IF(F18=0,"",IF(F18&lt;C18,"Atenção, observar os intervalos!",IF(F18&gt;E18,"Atenção, observar os intervalos!","")))</f>
      </c>
      <c r="R18" s="13"/>
      <c r="S18" s="13"/>
    </row>
    <row r="19" spans="2:19" ht="15.75">
      <c r="B19" s="64" t="s">
        <v>37</v>
      </c>
      <c r="C19" s="74">
        <f>'BDI 2622_2013_TCU'!G6</f>
        <v>0.0094</v>
      </c>
      <c r="D19" s="75">
        <f>'BDI 2622_2013_TCU'!H6</f>
        <v>0.0099</v>
      </c>
      <c r="E19" s="76">
        <f>'BDI 2622_2013_TCU'!I6</f>
        <v>0.0117</v>
      </c>
      <c r="F19" s="66">
        <v>0.01</v>
      </c>
      <c r="G19" s="21">
        <f>IF(F19=0,"",IF(F19&lt;C19,"Atenção, observar os intervalos!",IF(F19&gt;E19,"Atenção, observar os intervalos!","")))</f>
      </c>
      <c r="R19" s="13"/>
      <c r="S19" s="13"/>
    </row>
    <row r="20" spans="2:19" ht="15.75">
      <c r="B20" s="64" t="s">
        <v>38</v>
      </c>
      <c r="C20" s="77">
        <f>'BDI 2622_2013_TCU'!G7</f>
        <v>0.0674</v>
      </c>
      <c r="D20" s="78">
        <f>'BDI 2622_2013_TCU'!H7</f>
        <v>0.0804</v>
      </c>
      <c r="E20" s="79">
        <f>'BDI 2622_2013_TCU'!I7</f>
        <v>0.094</v>
      </c>
      <c r="F20" s="66">
        <v>0.0675</v>
      </c>
      <c r="G20" s="21">
        <f>IF(F20=0,"",IF(F20&lt;C20,"Atenção, observar os intervalos!",IF(F20&gt;E20,"Atenção, observar os intervalos!","")))</f>
      </c>
      <c r="R20" s="13"/>
      <c r="S20" s="13"/>
    </row>
    <row r="21" spans="2:19" ht="15.75">
      <c r="B21" s="102" t="s">
        <v>40</v>
      </c>
      <c r="C21" s="103"/>
      <c r="D21" s="103"/>
      <c r="E21" s="104"/>
      <c r="F21" s="67">
        <v>0.0365</v>
      </c>
      <c r="G21" s="21"/>
      <c r="R21" s="13"/>
      <c r="S21" s="13"/>
    </row>
    <row r="22" spans="2:19" ht="15.75">
      <c r="B22" s="105" t="s">
        <v>41</v>
      </c>
      <c r="C22" s="106"/>
      <c r="D22" s="106"/>
      <c r="E22" s="107"/>
      <c r="F22" s="67">
        <v>0.05</v>
      </c>
      <c r="G22" s="21"/>
      <c r="R22" s="13"/>
      <c r="S22" s="13"/>
    </row>
    <row r="23" spans="2:19" ht="16.5" thickBot="1">
      <c r="B23" s="93" t="s">
        <v>44</v>
      </c>
      <c r="C23" s="94"/>
      <c r="D23" s="94"/>
      <c r="E23" s="94"/>
      <c r="F23" s="70">
        <v>0.02</v>
      </c>
      <c r="G23" s="21"/>
      <c r="R23" s="13"/>
      <c r="S23" s="13"/>
    </row>
    <row r="24" ht="12.75">
      <c r="R24" s="12"/>
    </row>
    <row r="25" spans="2:19" ht="15.75">
      <c r="B25" s="83" t="s">
        <v>45</v>
      </c>
      <c r="C25" s="83"/>
      <c r="D25" s="83"/>
      <c r="E25" s="83"/>
      <c r="F25" s="62">
        <f>ROUND('BDI 2622_2013_TCU'!K12,4)</f>
        <v>0.2383</v>
      </c>
      <c r="G25" s="22">
        <f>'BDI 2622_2013_TCU'!L12</f>
      </c>
      <c r="R25" s="13"/>
      <c r="S25" s="13"/>
    </row>
    <row r="26" spans="2:19" ht="16.5" thickBot="1">
      <c r="B26" s="84" t="s">
        <v>46</v>
      </c>
      <c r="C26" s="85"/>
      <c r="D26" s="85"/>
      <c r="E26" s="85"/>
      <c r="F26" s="60">
        <f>ROUND('BDI 2622_2013_TCU'!K13,4)</f>
        <v>0.2661</v>
      </c>
      <c r="G26" s="61"/>
      <c r="R26" s="13"/>
      <c r="S26" s="13"/>
    </row>
    <row r="28" spans="2:6" ht="48" customHeight="1">
      <c r="B28" s="101" t="s">
        <v>39</v>
      </c>
      <c r="C28" s="101"/>
      <c r="D28" s="101"/>
      <c r="E28" s="101"/>
      <c r="F28" s="101"/>
    </row>
    <row r="30" spans="2:6" ht="12.75">
      <c r="B30" s="109" t="s">
        <v>52</v>
      </c>
      <c r="C30" s="109"/>
      <c r="D30" s="109"/>
      <c r="E30" s="109"/>
      <c r="F30" s="109"/>
    </row>
    <row r="31" spans="2:6" ht="12.75">
      <c r="B31" s="108" t="s">
        <v>51</v>
      </c>
      <c r="C31" s="108"/>
      <c r="D31" s="108"/>
      <c r="E31" s="108"/>
      <c r="F31" s="108"/>
    </row>
    <row r="32" ht="12.75">
      <c r="F32" s="23"/>
    </row>
    <row r="33" ht="12.75">
      <c r="B33" s="6"/>
    </row>
    <row r="34" spans="2:4" ht="12.75">
      <c r="B34" s="98" t="s">
        <v>60</v>
      </c>
      <c r="C34" s="98"/>
      <c r="D34" s="98"/>
    </row>
    <row r="35" spans="2:4" ht="12.75">
      <c r="B35" s="99" t="s">
        <v>6</v>
      </c>
      <c r="C35" s="99"/>
      <c r="D35" s="99"/>
    </row>
    <row r="41" spans="2:4" ht="12.75">
      <c r="B41" s="24"/>
      <c r="C41" s="24"/>
      <c r="D41" s="24"/>
    </row>
    <row r="42" spans="2:4" ht="12.75">
      <c r="B42" s="98" t="s">
        <v>7</v>
      </c>
      <c r="C42" s="98"/>
      <c r="D42" s="98"/>
    </row>
    <row r="43" spans="2:4" ht="12.75">
      <c r="B43" s="99" t="s">
        <v>6</v>
      </c>
      <c r="C43" s="99"/>
      <c r="D43" s="99"/>
    </row>
  </sheetData>
  <sheetProtection password="CC0D" sheet="1" objects="1" scenarios="1"/>
  <mergeCells count="19">
    <mergeCell ref="B42:D42"/>
    <mergeCell ref="B35:D35"/>
    <mergeCell ref="B43:D43"/>
    <mergeCell ref="C14:E14"/>
    <mergeCell ref="B28:F28"/>
    <mergeCell ref="B34:D34"/>
    <mergeCell ref="B21:E21"/>
    <mergeCell ref="B22:E22"/>
    <mergeCell ref="B31:F31"/>
    <mergeCell ref="B30:F30"/>
    <mergeCell ref="B25:E25"/>
    <mergeCell ref="B26:E26"/>
    <mergeCell ref="C2:F2"/>
    <mergeCell ref="C3:F3"/>
    <mergeCell ref="C5:F5"/>
    <mergeCell ref="C4:F4"/>
    <mergeCell ref="D7:F7"/>
    <mergeCell ref="B23:E23"/>
    <mergeCell ref="D10:F10"/>
  </mergeCells>
  <conditionalFormatting sqref="F16:F20">
    <cfRule type="cellIs" priority="1" dxfId="13" operator="between" stopIfTrue="1">
      <formula>$C16</formula>
      <formula>$E16</formula>
    </cfRule>
  </conditionalFormatting>
  <conditionalFormatting sqref="B7:C12">
    <cfRule type="expression" priority="3" dxfId="0" stopIfTrue="1">
      <formula>$C$6=0</formula>
    </cfRule>
    <cfRule type="expression" priority="4" dxfId="0" stopIfTrue="1">
      <formula>$C$6&gt;6</formula>
    </cfRule>
    <cfRule type="expression" priority="5" dxfId="10" stopIfTrue="1">
      <formula>$C7&lt;&gt;$C$6</formula>
    </cfRule>
  </conditionalFormatting>
  <conditionalFormatting sqref="E8">
    <cfRule type="expression" priority="6" dxfId="0" stopIfTrue="1">
      <formula>$D$9&lt;&gt;0</formula>
    </cfRule>
  </conditionalFormatting>
  <conditionalFormatting sqref="E9">
    <cfRule type="expression" priority="7" dxfId="6" stopIfTrue="1">
      <formula>$D$9&lt;&gt;0</formula>
    </cfRule>
  </conditionalFormatting>
  <conditionalFormatting sqref="E11">
    <cfRule type="expression" priority="8" dxfId="0" stopIfTrue="1">
      <formula>$D$12&lt;&gt;0</formula>
    </cfRule>
  </conditionalFormatting>
  <conditionalFormatting sqref="E12">
    <cfRule type="expression" priority="9" dxfId="6" stopIfTrue="1">
      <formula>$D$12&lt;&gt;0</formula>
    </cfRule>
  </conditionalFormatting>
  <conditionalFormatting sqref="B26:F26">
    <cfRule type="expression" priority="10" dxfId="14" stopIfTrue="1">
      <formula>$D$12&lt;&gt;0</formula>
    </cfRule>
  </conditionalFormatting>
  <conditionalFormatting sqref="B31:F31">
    <cfRule type="expression" priority="11" dxfId="0" stopIfTrue="1">
      <formula>$D$12&lt;&gt;0</formula>
    </cfRule>
  </conditionalFormatting>
  <conditionalFormatting sqref="F23">
    <cfRule type="expression" priority="12" dxfId="15" stopIfTrue="1">
      <formula>$D$12&lt;&gt;0</formula>
    </cfRule>
  </conditionalFormatting>
  <conditionalFormatting sqref="B23:E23">
    <cfRule type="expression" priority="13" dxfId="16" stopIfTrue="1">
      <formula>$D$12&lt;&gt;0</formula>
    </cfRule>
  </conditionalFormatting>
  <conditionalFormatting sqref="B25:F25">
    <cfRule type="expression" priority="14" dxfId="0" stopIfTrue="1">
      <formula>$D$12&lt;&gt;0</formula>
    </cfRule>
  </conditionalFormatting>
  <conditionalFormatting sqref="B30:F30">
    <cfRule type="expression" priority="15" dxfId="0" stopIfTrue="1">
      <formula>$D$12&lt;&gt;0</formula>
    </cfRule>
  </conditionalFormatting>
  <printOptions/>
  <pageMargins left="0.88" right="0.54" top="0.984251968503937" bottom="0.6692913385826772" header="0.5118110236220472" footer="0.5118110236220472"/>
  <pageSetup horizontalDpi="600" verticalDpi="600" orientation="portrait" paperSize="9" r:id="rId2"/>
  <headerFooter alignWithMargins="0">
    <oddHeader>&amp;C
BDI - Bonificação e Despesas Indiretas</oddHeader>
    <oddFooter>&amp;L&amp;"Arial,Negrito"&amp;8V.131028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3">
      <selection activeCell="E21" sqref="E21"/>
    </sheetView>
  </sheetViews>
  <sheetFormatPr defaultColWidth="9.140625" defaultRowHeight="12.75"/>
  <cols>
    <col min="1" max="1" width="3.57421875" style="26" bestFit="1" customWidth="1"/>
    <col min="2" max="2" width="20.140625" style="27" bestFit="1" customWidth="1"/>
    <col min="3" max="5" width="11.7109375" style="28" customWidth="1"/>
    <col min="6" max="6" width="11.7109375" style="42" customWidth="1"/>
    <col min="7" max="9" width="11.7109375" style="39" customWidth="1"/>
    <col min="10" max="10" width="11.7109375" style="28" customWidth="1"/>
  </cols>
  <sheetData>
    <row r="1" spans="1:10" ht="12.75">
      <c r="A1" s="41" t="s">
        <v>31</v>
      </c>
      <c r="B1" s="31" t="s">
        <v>32</v>
      </c>
      <c r="C1" s="29" t="s">
        <v>16</v>
      </c>
      <c r="D1" s="29" t="s">
        <v>17</v>
      </c>
      <c r="E1" s="29" t="s">
        <v>18</v>
      </c>
      <c r="F1" s="44"/>
      <c r="G1" s="45" t="s">
        <v>16</v>
      </c>
      <c r="H1" s="45" t="s">
        <v>17</v>
      </c>
      <c r="I1" s="45" t="s">
        <v>18</v>
      </c>
      <c r="J1" s="45" t="s">
        <v>25</v>
      </c>
    </row>
    <row r="2" spans="1:9" s="38" customFormat="1" ht="25.5">
      <c r="A2" s="30">
        <v>10</v>
      </c>
      <c r="B2" s="31" t="s">
        <v>19</v>
      </c>
      <c r="C2" s="33">
        <v>0.2043</v>
      </c>
      <c r="D2" s="33">
        <v>0.2212</v>
      </c>
      <c r="E2" s="33">
        <v>0.25</v>
      </c>
      <c r="F2" s="46">
        <f>BDI!C6*10</f>
        <v>30</v>
      </c>
      <c r="G2" s="47">
        <f aca="true" t="shared" si="0" ref="G2:G7">VLOOKUP($F2,$A$2:$E$55,3)</f>
        <v>0.2076</v>
      </c>
      <c r="H2" s="47">
        <f aca="true" t="shared" si="1" ref="H2:H7">VLOOKUP($F2,$A$2:$E$55,4)</f>
        <v>0.2418</v>
      </c>
      <c r="I2" s="47">
        <f aca="true" t="shared" si="2" ref="I2:I7">VLOOKUP($F2,$A$2:$E$55,5)</f>
        <v>0.2644</v>
      </c>
    </row>
    <row r="3" spans="1:10" ht="12.75">
      <c r="A3" s="26">
        <f aca="true" t="shared" si="3" ref="A3:A10">A2+1</f>
        <v>11</v>
      </c>
      <c r="B3" s="27" t="s">
        <v>8</v>
      </c>
      <c r="C3" s="28">
        <v>0.03</v>
      </c>
      <c r="D3" s="28">
        <v>0.04</v>
      </c>
      <c r="E3" s="28">
        <v>0.055</v>
      </c>
      <c r="F3" s="44">
        <f aca="true" t="shared" si="4" ref="F3:F10">IF(F$2=10,(A3),IF(F$2=20,(A3+10),IF(F$2=30,(A3+20),IF(F$2=40,(A3+30),IF(F$2=50,(A3+40),IF(F$2=60,(A3+50)))))))</f>
        <v>31</v>
      </c>
      <c r="G3" s="48">
        <f t="shared" si="0"/>
        <v>0.0343</v>
      </c>
      <c r="H3" s="49">
        <f t="shared" si="1"/>
        <v>0.0493</v>
      </c>
      <c r="I3" s="49">
        <f t="shared" si="2"/>
        <v>0.0671</v>
      </c>
      <c r="J3" s="48">
        <f>BDI!F16</f>
        <v>0.035</v>
      </c>
    </row>
    <row r="4" spans="1:10" ht="12.75">
      <c r="A4" s="26">
        <f t="shared" si="3"/>
        <v>12</v>
      </c>
      <c r="B4" s="27" t="s">
        <v>9</v>
      </c>
      <c r="C4" s="28">
        <v>0.008</v>
      </c>
      <c r="D4" s="28">
        <v>0.008</v>
      </c>
      <c r="E4" s="28">
        <v>0.01</v>
      </c>
      <c r="F4" s="44">
        <f t="shared" si="4"/>
        <v>32</v>
      </c>
      <c r="G4" s="48">
        <f t="shared" si="0"/>
        <v>0.0028</v>
      </c>
      <c r="H4" s="49">
        <f t="shared" si="1"/>
        <v>0.0049</v>
      </c>
      <c r="I4" s="49">
        <f t="shared" si="2"/>
        <v>0.0075</v>
      </c>
      <c r="J4" s="48">
        <f>BDI!F17</f>
        <v>0.0042</v>
      </c>
    </row>
    <row r="5" spans="1:10" ht="12.75">
      <c r="A5" s="26">
        <f t="shared" si="3"/>
        <v>13</v>
      </c>
      <c r="B5" s="27" t="s">
        <v>10</v>
      </c>
      <c r="C5" s="28">
        <v>0.0097</v>
      </c>
      <c r="D5" s="28">
        <v>0.0127</v>
      </c>
      <c r="E5" s="28">
        <v>0.0127</v>
      </c>
      <c r="F5" s="44">
        <f t="shared" si="4"/>
        <v>33</v>
      </c>
      <c r="G5" s="48">
        <f t="shared" si="0"/>
        <v>0.01</v>
      </c>
      <c r="H5" s="49">
        <f t="shared" si="1"/>
        <v>0.0139</v>
      </c>
      <c r="I5" s="49">
        <f t="shared" si="2"/>
        <v>0.0174</v>
      </c>
      <c r="J5" s="48">
        <f>BDI!F18</f>
        <v>0.01</v>
      </c>
    </row>
    <row r="6" spans="1:10" ht="12.75">
      <c r="A6" s="26">
        <f t="shared" si="3"/>
        <v>14</v>
      </c>
      <c r="B6" s="27" t="s">
        <v>11</v>
      </c>
      <c r="C6" s="28">
        <v>0.0059</v>
      </c>
      <c r="D6" s="28">
        <v>0.0123</v>
      </c>
      <c r="E6" s="28">
        <v>0.0139</v>
      </c>
      <c r="F6" s="44">
        <f t="shared" si="4"/>
        <v>34</v>
      </c>
      <c r="G6" s="48">
        <f t="shared" si="0"/>
        <v>0.0094</v>
      </c>
      <c r="H6" s="49">
        <f t="shared" si="1"/>
        <v>0.0099</v>
      </c>
      <c r="I6" s="49">
        <f t="shared" si="2"/>
        <v>0.0117</v>
      </c>
      <c r="J6" s="48">
        <f>BDI!F19</f>
        <v>0.01</v>
      </c>
    </row>
    <row r="7" spans="1:10" ht="12.75">
      <c r="A7" s="26">
        <f t="shared" si="3"/>
        <v>15</v>
      </c>
      <c r="B7" s="27" t="s">
        <v>12</v>
      </c>
      <c r="C7" s="28">
        <v>0.0616</v>
      </c>
      <c r="D7" s="28">
        <v>0.074</v>
      </c>
      <c r="E7" s="28">
        <v>0.0896</v>
      </c>
      <c r="F7" s="44">
        <f t="shared" si="4"/>
        <v>35</v>
      </c>
      <c r="G7" s="48">
        <f t="shared" si="0"/>
        <v>0.0674</v>
      </c>
      <c r="H7" s="49">
        <f t="shared" si="1"/>
        <v>0.0804</v>
      </c>
      <c r="I7" s="49">
        <f t="shared" si="2"/>
        <v>0.094</v>
      </c>
      <c r="J7" s="48">
        <f>BDI!F20</f>
        <v>0.0675</v>
      </c>
    </row>
    <row r="8" spans="1:10" ht="12.75">
      <c r="A8" s="26">
        <f t="shared" si="3"/>
        <v>16</v>
      </c>
      <c r="B8" s="27" t="s">
        <v>42</v>
      </c>
      <c r="F8" s="44">
        <f t="shared" si="4"/>
        <v>36</v>
      </c>
      <c r="G8" s="48"/>
      <c r="H8" s="48"/>
      <c r="I8" s="48"/>
      <c r="J8" s="48">
        <f>BDI!F21</f>
        <v>0.0365</v>
      </c>
    </row>
    <row r="9" spans="1:10" ht="12.75">
      <c r="A9" s="26">
        <f t="shared" si="3"/>
        <v>17</v>
      </c>
      <c r="B9" s="27" t="s">
        <v>43</v>
      </c>
      <c r="F9" s="44">
        <f t="shared" si="4"/>
        <v>37</v>
      </c>
      <c r="G9" s="48"/>
      <c r="H9" s="48"/>
      <c r="I9" s="48"/>
      <c r="J9" s="48">
        <f>BDI!F22</f>
        <v>0.05</v>
      </c>
    </row>
    <row r="10" spans="1:10" ht="38.25">
      <c r="A10" s="26">
        <f t="shared" si="3"/>
        <v>18</v>
      </c>
      <c r="B10" s="50" t="s">
        <v>47</v>
      </c>
      <c r="F10" s="44">
        <f t="shared" si="4"/>
        <v>38</v>
      </c>
      <c r="G10" s="48"/>
      <c r="H10" s="48"/>
      <c r="I10" s="48"/>
      <c r="J10" s="48">
        <f>BDI!F23</f>
        <v>0.02</v>
      </c>
    </row>
    <row r="11" spans="1:10" s="1" customFormat="1" ht="25.5">
      <c r="A11" s="30">
        <v>20</v>
      </c>
      <c r="B11" s="31" t="s">
        <v>20</v>
      </c>
      <c r="C11" s="32">
        <v>0.196</v>
      </c>
      <c r="D11" s="32">
        <v>0.2097</v>
      </c>
      <c r="E11" s="32">
        <v>0.2423</v>
      </c>
      <c r="F11" s="43"/>
      <c r="G11" s="109"/>
      <c r="H11" s="109"/>
      <c r="I11" s="109"/>
      <c r="J11" s="109"/>
    </row>
    <row r="12" spans="1:12" ht="12.75">
      <c r="A12" s="26">
        <f aca="true" t="shared" si="5" ref="A12:A19">A3+10</f>
        <v>21</v>
      </c>
      <c r="B12" s="27" t="str">
        <f>B$3</f>
        <v>Administração Central</v>
      </c>
      <c r="C12" s="28">
        <v>0.038</v>
      </c>
      <c r="D12" s="28">
        <v>0.0401</v>
      </c>
      <c r="E12" s="28">
        <v>0.0467</v>
      </c>
      <c r="G12" s="110" t="s">
        <v>53</v>
      </c>
      <c r="H12" s="110"/>
      <c r="I12" s="110"/>
      <c r="J12" s="110"/>
      <c r="K12" s="51">
        <f>(1+J3+J4+J5)*(1+J6)*(1+J7)/(1-J8-J9)-1</f>
        <v>0.238337394636015</v>
      </c>
      <c r="L12" s="52">
        <f>IF(K12&lt;G2,"ATENÇÃO! BDI inferior ao 1º quartil - OBRIGATÓRIA APRESENTAÇÃO DE JUSTIFICATIVA!",IF(K12&gt;I2,"ATENÇÃO! BDI superior ao 3º quartil - OBRIGATÓRIA APRESENTAÇÃO DE JUSTIFICATIVA!",""))</f>
      </c>
    </row>
    <row r="13" spans="1:12" ht="12.75">
      <c r="A13" s="26">
        <f t="shared" si="5"/>
        <v>22</v>
      </c>
      <c r="B13" s="27" t="str">
        <f>B$4</f>
        <v>Seguro e Garantia</v>
      </c>
      <c r="C13" s="28">
        <v>0.0032</v>
      </c>
      <c r="D13" s="28">
        <v>0.004</v>
      </c>
      <c r="E13" s="28">
        <v>0.0074</v>
      </c>
      <c r="G13" s="110" t="s">
        <v>48</v>
      </c>
      <c r="H13" s="110"/>
      <c r="I13" s="110"/>
      <c r="J13" s="110"/>
      <c r="K13" s="53">
        <f>(1+J3+J4+J5)*(1+J6)*(1+J7)/(1-J8-J9-J10)-1</f>
        <v>0.26605619473978703</v>
      </c>
      <c r="L13" s="54"/>
    </row>
    <row r="14" spans="1:5" ht="12.75">
      <c r="A14" s="26">
        <f t="shared" si="5"/>
        <v>23</v>
      </c>
      <c r="B14" s="27" t="str">
        <f>B$5</f>
        <v>Risco</v>
      </c>
      <c r="C14" s="28">
        <v>0.005</v>
      </c>
      <c r="D14" s="28">
        <v>0.0056</v>
      </c>
      <c r="E14" s="28">
        <v>0.0097</v>
      </c>
    </row>
    <row r="15" spans="1:5" ht="12.75">
      <c r="A15" s="26">
        <f t="shared" si="5"/>
        <v>24</v>
      </c>
      <c r="B15" s="27" t="str">
        <f>B$6</f>
        <v>Despesas Financeiras</v>
      </c>
      <c r="C15" s="28">
        <v>0.0102</v>
      </c>
      <c r="D15" s="28">
        <v>0.0111</v>
      </c>
      <c r="E15" s="28">
        <v>0.0121</v>
      </c>
    </row>
    <row r="16" spans="1:5" ht="12.75">
      <c r="A16" s="26">
        <f t="shared" si="5"/>
        <v>25</v>
      </c>
      <c r="B16" s="27" t="str">
        <f>B$7</f>
        <v>Lucro</v>
      </c>
      <c r="C16" s="28">
        <v>0.0664</v>
      </c>
      <c r="D16" s="28">
        <v>0.073</v>
      </c>
      <c r="E16" s="28">
        <v>0.0869</v>
      </c>
    </row>
    <row r="17" spans="1:2" ht="12.75">
      <c r="A17" s="26">
        <f t="shared" si="5"/>
        <v>26</v>
      </c>
      <c r="B17" s="27" t="str">
        <f>B$8</f>
        <v>PIS e COFINS</v>
      </c>
    </row>
    <row r="18" spans="1:2" ht="12.75">
      <c r="A18" s="26">
        <f t="shared" si="5"/>
        <v>27</v>
      </c>
      <c r="B18" s="27" t="str">
        <f>B$9</f>
        <v>ISSQN</v>
      </c>
    </row>
    <row r="19" spans="1:2" ht="38.25">
      <c r="A19" s="26">
        <f t="shared" si="5"/>
        <v>28</v>
      </c>
      <c r="B19" s="27" t="str">
        <f>B$10</f>
        <v>Cont.Prev s/Rec.Bruta (Lei 12844/13 - Desoneração)</v>
      </c>
    </row>
    <row r="20" spans="1:10" s="1" customFormat="1" ht="76.5">
      <c r="A20" s="30">
        <v>30</v>
      </c>
      <c r="B20" s="31" t="s">
        <v>21</v>
      </c>
      <c r="C20" s="32">
        <v>0.2076</v>
      </c>
      <c r="D20" s="32">
        <v>0.2418</v>
      </c>
      <c r="E20" s="32">
        <v>0.2644</v>
      </c>
      <c r="F20" s="43"/>
      <c r="G20" s="40"/>
      <c r="H20" s="40"/>
      <c r="I20" s="40"/>
      <c r="J20" s="32"/>
    </row>
    <row r="21" spans="1:5" ht="12.75">
      <c r="A21" s="26">
        <f aca="true" t="shared" si="6" ref="A21:A28">A12+10</f>
        <v>31</v>
      </c>
      <c r="B21" s="27" t="str">
        <f>B$3</f>
        <v>Administração Central</v>
      </c>
      <c r="C21" s="28">
        <v>0.0343</v>
      </c>
      <c r="D21" s="28">
        <v>0.0493</v>
      </c>
      <c r="E21" s="28">
        <v>0.0671</v>
      </c>
    </row>
    <row r="22" spans="1:5" ht="12.75">
      <c r="A22" s="26">
        <f t="shared" si="6"/>
        <v>32</v>
      </c>
      <c r="B22" s="27" t="str">
        <f>B$4</f>
        <v>Seguro e Garantia</v>
      </c>
      <c r="C22" s="28">
        <v>0.0028</v>
      </c>
      <c r="D22" s="28">
        <v>0.0049</v>
      </c>
      <c r="E22" s="28">
        <v>0.0075</v>
      </c>
    </row>
    <row r="23" spans="1:5" ht="12.75">
      <c r="A23" s="26">
        <f t="shared" si="6"/>
        <v>33</v>
      </c>
      <c r="B23" s="27" t="str">
        <f>B$5</f>
        <v>Risco</v>
      </c>
      <c r="C23" s="28">
        <v>0.01</v>
      </c>
      <c r="D23" s="28">
        <v>0.0139</v>
      </c>
      <c r="E23" s="28">
        <v>0.0174</v>
      </c>
    </row>
    <row r="24" spans="1:5" ht="12.75">
      <c r="A24" s="26">
        <f t="shared" si="6"/>
        <v>34</v>
      </c>
      <c r="B24" s="27" t="str">
        <f>B$6</f>
        <v>Despesas Financeiras</v>
      </c>
      <c r="C24" s="28">
        <v>0.0094</v>
      </c>
      <c r="D24" s="28">
        <v>0.0099</v>
      </c>
      <c r="E24" s="28">
        <v>0.0117</v>
      </c>
    </row>
    <row r="25" spans="1:5" ht="12.75">
      <c r="A25" s="26">
        <f t="shared" si="6"/>
        <v>35</v>
      </c>
      <c r="B25" s="27" t="str">
        <f>B$7</f>
        <v>Lucro</v>
      </c>
      <c r="C25" s="28">
        <v>0.0674</v>
      </c>
      <c r="D25" s="28">
        <v>0.0804</v>
      </c>
      <c r="E25" s="28">
        <v>0.094</v>
      </c>
    </row>
    <row r="26" spans="1:2" ht="12.75">
      <c r="A26" s="26">
        <f t="shared" si="6"/>
        <v>36</v>
      </c>
      <c r="B26" s="27" t="str">
        <f>B$8</f>
        <v>PIS e COFINS</v>
      </c>
    </row>
    <row r="27" spans="1:2" ht="12.75">
      <c r="A27" s="26">
        <f t="shared" si="6"/>
        <v>37</v>
      </c>
      <c r="B27" s="27" t="str">
        <f>B$9</f>
        <v>ISSQN</v>
      </c>
    </row>
    <row r="28" spans="1:2" ht="38.25">
      <c r="A28" s="26">
        <f t="shared" si="6"/>
        <v>38</v>
      </c>
      <c r="B28" s="27" t="str">
        <f>B$10</f>
        <v>Cont.Prev s/Rec.Bruta (Lei 12844/13 - Desoneração)</v>
      </c>
    </row>
    <row r="29" spans="1:10" s="1" customFormat="1" ht="63.75">
      <c r="A29" s="30">
        <v>40</v>
      </c>
      <c r="B29" s="31" t="s">
        <v>22</v>
      </c>
      <c r="C29" s="32">
        <v>0.24</v>
      </c>
      <c r="D29" s="32">
        <v>0.2584</v>
      </c>
      <c r="E29" s="32">
        <v>0.2786</v>
      </c>
      <c r="F29" s="43"/>
      <c r="G29" s="40"/>
      <c r="H29" s="40"/>
      <c r="I29" s="40"/>
      <c r="J29" s="32"/>
    </row>
    <row r="30" spans="1:5" ht="12.75">
      <c r="A30" s="26">
        <f aca="true" t="shared" si="7" ref="A30:A37">A21+10</f>
        <v>41</v>
      </c>
      <c r="B30" s="27" t="str">
        <f>B$3</f>
        <v>Administração Central</v>
      </c>
      <c r="C30" s="28">
        <v>0.0529</v>
      </c>
      <c r="D30" s="28">
        <v>0.0592</v>
      </c>
      <c r="E30" s="28">
        <v>0.0793</v>
      </c>
    </row>
    <row r="31" spans="1:5" ht="12.75">
      <c r="A31" s="26">
        <f t="shared" si="7"/>
        <v>42</v>
      </c>
      <c r="B31" s="27" t="str">
        <f>B$4</f>
        <v>Seguro e Garantia</v>
      </c>
      <c r="C31" s="28">
        <v>0.0025</v>
      </c>
      <c r="D31" s="28">
        <v>0.0051</v>
      </c>
      <c r="E31" s="28">
        <v>0.0056</v>
      </c>
    </row>
    <row r="32" spans="1:5" ht="12.75">
      <c r="A32" s="26">
        <f t="shared" si="7"/>
        <v>43</v>
      </c>
      <c r="B32" s="27" t="str">
        <f>B$5</f>
        <v>Risco</v>
      </c>
      <c r="C32" s="28">
        <v>0.01</v>
      </c>
      <c r="D32" s="28">
        <v>0.0148</v>
      </c>
      <c r="E32" s="28">
        <v>0.0197</v>
      </c>
    </row>
    <row r="33" spans="1:5" ht="12.75">
      <c r="A33" s="26">
        <f t="shared" si="7"/>
        <v>44</v>
      </c>
      <c r="B33" s="27" t="str">
        <f>B$6</f>
        <v>Despesas Financeiras</v>
      </c>
      <c r="C33" s="28">
        <v>0.0101</v>
      </c>
      <c r="D33" s="28">
        <v>0.0107</v>
      </c>
      <c r="E33" s="28">
        <v>0.0111</v>
      </c>
    </row>
    <row r="34" spans="1:5" ht="12.75">
      <c r="A34" s="26">
        <f t="shared" si="7"/>
        <v>45</v>
      </c>
      <c r="B34" s="27" t="str">
        <f>B$7</f>
        <v>Lucro</v>
      </c>
      <c r="C34" s="28">
        <v>0.08</v>
      </c>
      <c r="D34" s="28">
        <v>0.0831</v>
      </c>
      <c r="E34" s="28">
        <v>0.0951</v>
      </c>
    </row>
    <row r="35" spans="1:2" ht="12.75">
      <c r="A35" s="26">
        <f t="shared" si="7"/>
        <v>46</v>
      </c>
      <c r="B35" s="27" t="str">
        <f>B$8</f>
        <v>PIS e COFINS</v>
      </c>
    </row>
    <row r="36" spans="1:2" ht="12.75">
      <c r="A36" s="26">
        <f t="shared" si="7"/>
        <v>47</v>
      </c>
      <c r="B36" s="27" t="str">
        <f>B$9</f>
        <v>ISSQN</v>
      </c>
    </row>
    <row r="37" spans="1:2" ht="38.25">
      <c r="A37" s="26">
        <f t="shared" si="7"/>
        <v>48</v>
      </c>
      <c r="B37" s="27" t="str">
        <f>B$10</f>
        <v>Cont.Prev s/Rec.Bruta (Lei 12844/13 - Desoneração)</v>
      </c>
    </row>
    <row r="38" spans="1:10" s="1" customFormat="1" ht="25.5">
      <c r="A38" s="30">
        <v>50</v>
      </c>
      <c r="B38" s="31" t="s">
        <v>23</v>
      </c>
      <c r="C38" s="32">
        <v>0.228</v>
      </c>
      <c r="D38" s="32">
        <v>0.2748</v>
      </c>
      <c r="E38" s="32">
        <v>0.3095</v>
      </c>
      <c r="F38" s="43"/>
      <c r="G38" s="40"/>
      <c r="H38" s="40"/>
      <c r="I38" s="40"/>
      <c r="J38" s="32"/>
    </row>
    <row r="39" spans="1:5" ht="12.75">
      <c r="A39" s="26">
        <f aca="true" t="shared" si="8" ref="A39:A46">A30+10</f>
        <v>51</v>
      </c>
      <c r="B39" s="27" t="str">
        <f>B$3</f>
        <v>Administração Central</v>
      </c>
      <c r="C39" s="28">
        <v>0.04</v>
      </c>
      <c r="D39" s="28">
        <v>0.0552</v>
      </c>
      <c r="E39" s="28">
        <v>0.0785</v>
      </c>
    </row>
    <row r="40" spans="1:5" ht="12.75">
      <c r="A40" s="26">
        <f t="shared" si="8"/>
        <v>52</v>
      </c>
      <c r="B40" s="27" t="str">
        <f>B$4</f>
        <v>Seguro e Garantia</v>
      </c>
      <c r="C40" s="28">
        <v>0.0081</v>
      </c>
      <c r="D40" s="28">
        <v>0.0122</v>
      </c>
      <c r="E40" s="28">
        <v>0.0199</v>
      </c>
    </row>
    <row r="41" spans="1:5" ht="12.75">
      <c r="A41" s="26">
        <f t="shared" si="8"/>
        <v>53</v>
      </c>
      <c r="B41" s="27" t="str">
        <f>B$5</f>
        <v>Risco</v>
      </c>
      <c r="C41" s="28">
        <v>0.0146</v>
      </c>
      <c r="D41" s="28">
        <v>0.0232</v>
      </c>
      <c r="E41" s="28">
        <v>0.0316</v>
      </c>
    </row>
    <row r="42" spans="1:5" ht="12.75">
      <c r="A42" s="26">
        <f t="shared" si="8"/>
        <v>54</v>
      </c>
      <c r="B42" s="27" t="str">
        <f>B$6</f>
        <v>Despesas Financeiras</v>
      </c>
      <c r="C42" s="28">
        <v>0.0094</v>
      </c>
      <c r="D42" s="28">
        <v>0.0102</v>
      </c>
      <c r="E42" s="28">
        <v>0.0133</v>
      </c>
    </row>
    <row r="43" spans="1:5" ht="12.75">
      <c r="A43" s="26">
        <f t="shared" si="8"/>
        <v>55</v>
      </c>
      <c r="B43" s="27" t="str">
        <f>B$7</f>
        <v>Lucro</v>
      </c>
      <c r="C43" s="28">
        <v>0.0714</v>
      </c>
      <c r="D43" s="28">
        <v>0.084</v>
      </c>
      <c r="E43" s="28">
        <v>0.1043</v>
      </c>
    </row>
    <row r="44" spans="1:2" ht="12.75">
      <c r="A44" s="26">
        <f t="shared" si="8"/>
        <v>56</v>
      </c>
      <c r="B44" s="27" t="str">
        <f>B$8</f>
        <v>PIS e COFINS</v>
      </c>
    </row>
    <row r="45" spans="1:2" ht="12.75">
      <c r="A45" s="26">
        <f t="shared" si="8"/>
        <v>57</v>
      </c>
      <c r="B45" s="27" t="str">
        <f>B$9</f>
        <v>ISSQN</v>
      </c>
    </row>
    <row r="46" spans="1:2" ht="38.25">
      <c r="A46" s="26">
        <f t="shared" si="8"/>
        <v>58</v>
      </c>
      <c r="B46" s="27" t="str">
        <f>B$10</f>
        <v>Cont.Prev s/Rec.Bruta (Lei 12844/13 - Desoneração)</v>
      </c>
    </row>
    <row r="47" spans="1:10" s="1" customFormat="1" ht="38.25">
      <c r="A47" s="30">
        <v>60</v>
      </c>
      <c r="B47" s="31" t="s">
        <v>24</v>
      </c>
      <c r="C47" s="32">
        <v>0.111</v>
      </c>
      <c r="D47" s="32">
        <v>0.1402</v>
      </c>
      <c r="E47" s="32">
        <v>0.168</v>
      </c>
      <c r="F47" s="43"/>
      <c r="G47" s="40"/>
      <c r="H47" s="40"/>
      <c r="I47" s="40"/>
      <c r="J47" s="32"/>
    </row>
    <row r="48" spans="1:5" ht="12.75">
      <c r="A48" s="26">
        <f aca="true" t="shared" si="9" ref="A48:A55">A39+10</f>
        <v>61</v>
      </c>
      <c r="B48" s="27" t="str">
        <f>B$3</f>
        <v>Administração Central</v>
      </c>
      <c r="C48" s="28">
        <v>0.015</v>
      </c>
      <c r="D48" s="28">
        <v>0.0345</v>
      </c>
      <c r="E48" s="28">
        <v>0.0449</v>
      </c>
    </row>
    <row r="49" spans="1:5" ht="12.75">
      <c r="A49" s="26">
        <f t="shared" si="9"/>
        <v>62</v>
      </c>
      <c r="B49" s="27" t="str">
        <f>B$4</f>
        <v>Seguro e Garantia</v>
      </c>
      <c r="C49" s="28">
        <v>0.003</v>
      </c>
      <c r="D49" s="28">
        <v>0.0048</v>
      </c>
      <c r="E49" s="28">
        <v>0.0082</v>
      </c>
    </row>
    <row r="50" spans="1:5" ht="12.75">
      <c r="A50" s="26">
        <f t="shared" si="9"/>
        <v>63</v>
      </c>
      <c r="B50" s="27" t="str">
        <f>B$5</f>
        <v>Risco</v>
      </c>
      <c r="C50" s="28">
        <v>0.0056</v>
      </c>
      <c r="D50" s="28">
        <v>0.0085</v>
      </c>
      <c r="E50" s="28">
        <v>0.0089</v>
      </c>
    </row>
    <row r="51" spans="1:5" ht="12.75">
      <c r="A51" s="26">
        <f t="shared" si="9"/>
        <v>64</v>
      </c>
      <c r="B51" s="27" t="str">
        <f>B$6</f>
        <v>Despesas Financeiras</v>
      </c>
      <c r="C51" s="28">
        <v>0.0085</v>
      </c>
      <c r="D51" s="28">
        <v>0.0085</v>
      </c>
      <c r="E51" s="28">
        <v>0.0111</v>
      </c>
    </row>
    <row r="52" spans="1:5" ht="12.75">
      <c r="A52" s="26">
        <f t="shared" si="9"/>
        <v>65</v>
      </c>
      <c r="B52" s="27" t="str">
        <f>B$7</f>
        <v>Lucro</v>
      </c>
      <c r="C52" s="28">
        <v>0.035</v>
      </c>
      <c r="D52" s="28">
        <v>0.0511</v>
      </c>
      <c r="E52" s="28">
        <v>0.0622</v>
      </c>
    </row>
    <row r="53" spans="1:2" ht="12.75">
      <c r="A53" s="26">
        <f t="shared" si="9"/>
        <v>66</v>
      </c>
      <c r="B53" s="27" t="str">
        <f>B$8</f>
        <v>PIS e COFINS</v>
      </c>
    </row>
    <row r="54" spans="1:2" ht="12.75">
      <c r="A54" s="26">
        <f t="shared" si="9"/>
        <v>67</v>
      </c>
      <c r="B54" s="27" t="str">
        <f>B$9</f>
        <v>ISSQN</v>
      </c>
    </row>
    <row r="55" spans="1:2" ht="38.25">
      <c r="A55" s="26">
        <f t="shared" si="9"/>
        <v>68</v>
      </c>
      <c r="B55" s="27" t="str">
        <f>B$10</f>
        <v>Cont.Prev s/Rec.Bruta (Lei 12844/13 - Desoneração)</v>
      </c>
    </row>
  </sheetData>
  <sheetProtection password="CC0D" sheet="1" objects="1" scenarios="1"/>
  <mergeCells count="3">
    <mergeCell ref="G11:J11"/>
    <mergeCell ref="G12:J12"/>
    <mergeCell ref="G13:J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&amp;LV.131028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V.120101</dc:title>
  <dc:subject/>
  <dc:creator>Wilton Onishi</dc:creator>
  <cp:keywords/>
  <dc:description/>
  <cp:lastModifiedBy>Terminal 5</cp:lastModifiedBy>
  <cp:lastPrinted>2014-03-06T14:44:55Z</cp:lastPrinted>
  <dcterms:created xsi:type="dcterms:W3CDTF">2007-04-06T13:24:43Z</dcterms:created>
  <dcterms:modified xsi:type="dcterms:W3CDTF">2014-08-04T11:59:18Z</dcterms:modified>
  <cp:category/>
  <cp:version/>
  <cp:contentType/>
  <cp:contentStatus/>
</cp:coreProperties>
</file>